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0500" windowHeight="3030"/>
  </bookViews>
  <sheets>
    <sheet name="Spis treści" sheetId="7" r:id="rId1"/>
    <sheet name="Dane bazowe" sheetId="9" r:id="rId2"/>
    <sheet name="Arkusz obliczeniowy" sheetId="8" r:id="rId3"/>
    <sheet name="Wykres 1" sheetId="10" r:id="rId4"/>
    <sheet name="Wykres 2" sheetId="11" r:id="rId5"/>
    <sheet name="Wykres 3" sheetId="12" r:id="rId6"/>
    <sheet name="Rekomendacja" sheetId="13" r:id="rId7"/>
  </sheets>
  <definedNames>
    <definedName name="czas">'Dane bazowe'!$C$22</definedName>
    <definedName name="dopuszcz">'Dane bazowe'!$C$29</definedName>
    <definedName name="likwid">'Dane bazowe'!$E$20</definedName>
    <definedName name="nakłady">'Dane bazowe'!$E$16</definedName>
    <definedName name="npv">'Arkusz obliczeniowy'!$I$36</definedName>
    <definedName name="rezyd">'Dane bazowe'!$E$20</definedName>
    <definedName name="rezydual">'Dane bazowe'!$E$21</definedName>
    <definedName name="ryzyko">'Dane bazowe'!$C$25</definedName>
    <definedName name="saldo">'Dane bazowe'!$E$19</definedName>
    <definedName name="stopa">'Arkusz obliczeniowy'!$F$4</definedName>
    <definedName name="waluta">'Dane bazowe'!$C$12</definedName>
    <definedName name="zwrot">'Arkusz obliczeniowy'!$L$36</definedName>
  </definedNames>
  <calcPr calcId="124519"/>
</workbook>
</file>

<file path=xl/calcChain.xml><?xml version="1.0" encoding="utf-8"?>
<calcChain xmlns="http://schemas.openxmlformats.org/spreadsheetml/2006/main">
  <c r="C9" i="13"/>
  <c r="B12"/>
  <c r="B13"/>
  <c r="B9"/>
  <c r="B8"/>
  <c r="B5"/>
  <c r="E30" i="8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1"/>
  <c r="E32"/>
  <c r="E33"/>
  <c r="E34"/>
  <c r="E35"/>
  <c r="D31"/>
  <c r="D32"/>
  <c r="D33"/>
  <c r="D34"/>
  <c r="D35"/>
  <c r="F4"/>
  <c r="F7" s="1"/>
  <c r="H7" l="1"/>
  <c r="F8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H35" s="1"/>
  <c r="F29" i="9"/>
  <c r="D13" i="13" s="1"/>
  <c r="E29" i="9"/>
  <c r="C13" i="13" s="1"/>
  <c r="E25" i="9"/>
  <c r="C12" i="13" s="1"/>
  <c r="F22" i="9"/>
  <c r="D9" i="13" s="1"/>
  <c r="E22" i="9"/>
  <c r="E19"/>
  <c r="E16"/>
  <c r="C12"/>
  <c r="B12"/>
  <c r="C8" i="13" l="1"/>
  <c r="E6" i="8"/>
  <c r="H9"/>
  <c r="H13"/>
  <c r="H17"/>
  <c r="H21"/>
  <c r="H25"/>
  <c r="H29"/>
  <c r="H34"/>
  <c r="F36"/>
  <c r="H8"/>
  <c r="H12"/>
  <c r="H16"/>
  <c r="H20"/>
  <c r="H24"/>
  <c r="H28"/>
  <c r="G32"/>
  <c r="G33"/>
  <c r="H31"/>
  <c r="H33"/>
  <c r="I33" s="1"/>
  <c r="G35"/>
  <c r="I35" s="1"/>
  <c r="H11"/>
  <c r="H15"/>
  <c r="H19"/>
  <c r="H23"/>
  <c r="H27"/>
  <c r="H32"/>
  <c r="G31"/>
  <c r="H30"/>
  <c r="H10"/>
  <c r="H14"/>
  <c r="H18"/>
  <c r="H22"/>
  <c r="H26"/>
  <c r="G34"/>
  <c r="I34" s="1"/>
  <c r="F16" i="9"/>
  <c r="D8" i="13"/>
  <c r="D16"/>
  <c r="K4" i="8"/>
  <c r="D18" i="13"/>
  <c r="D6" i="8"/>
  <c r="D7"/>
  <c r="G7" s="1"/>
  <c r="I7" s="1"/>
  <c r="D9"/>
  <c r="G9" s="1"/>
  <c r="I9" s="1"/>
  <c r="D11"/>
  <c r="G11" s="1"/>
  <c r="I11" s="1"/>
  <c r="D13"/>
  <c r="G13" s="1"/>
  <c r="D15"/>
  <c r="G15" s="1"/>
  <c r="I15" s="1"/>
  <c r="D17"/>
  <c r="G17" s="1"/>
  <c r="I17" s="1"/>
  <c r="D19"/>
  <c r="G19" s="1"/>
  <c r="I19" s="1"/>
  <c r="D21"/>
  <c r="G21" s="1"/>
  <c r="D23"/>
  <c r="G23" s="1"/>
  <c r="I23" s="1"/>
  <c r="D25"/>
  <c r="G25" s="1"/>
  <c r="I25" s="1"/>
  <c r="D27"/>
  <c r="G27" s="1"/>
  <c r="I27" s="1"/>
  <c r="D29"/>
  <c r="G29" s="1"/>
  <c r="D30"/>
  <c r="G30" s="1"/>
  <c r="I30" s="1"/>
  <c r="D8"/>
  <c r="G8" s="1"/>
  <c r="I8" s="1"/>
  <c r="D10"/>
  <c r="G10" s="1"/>
  <c r="I10" s="1"/>
  <c r="D12"/>
  <c r="G12" s="1"/>
  <c r="D14"/>
  <c r="G14" s="1"/>
  <c r="I14" s="1"/>
  <c r="D16"/>
  <c r="G16" s="1"/>
  <c r="I16" s="1"/>
  <c r="D18"/>
  <c r="G18" s="1"/>
  <c r="I18" s="1"/>
  <c r="D20"/>
  <c r="G20" s="1"/>
  <c r="D22"/>
  <c r="G22" s="1"/>
  <c r="I22" s="1"/>
  <c r="D24"/>
  <c r="G24" s="1"/>
  <c r="I24" s="1"/>
  <c r="D26"/>
  <c r="G26" s="1"/>
  <c r="I26" s="1"/>
  <c r="D28"/>
  <c r="G28" s="1"/>
  <c r="F15" i="9"/>
  <c r="F21"/>
  <c r="F19"/>
  <c r="F17"/>
  <c r="F14"/>
  <c r="F20"/>
  <c r="F18"/>
  <c r="E36" i="8" l="1"/>
  <c r="H6"/>
  <c r="H36" s="1"/>
  <c r="I28"/>
  <c r="I20"/>
  <c r="I12"/>
  <c r="I29"/>
  <c r="I21"/>
  <c r="I13"/>
  <c r="I31"/>
  <c r="I32"/>
  <c r="D36"/>
  <c r="G6"/>
  <c r="G36" l="1"/>
  <c r="I6"/>
  <c r="J9" l="1"/>
  <c r="J13"/>
  <c r="J17"/>
  <c r="J21"/>
  <c r="J25"/>
  <c r="J29"/>
  <c r="J33"/>
  <c r="I36"/>
  <c r="J10"/>
  <c r="J14"/>
  <c r="J18"/>
  <c r="J22"/>
  <c r="J26"/>
  <c r="J30"/>
  <c r="J34"/>
  <c r="J6"/>
  <c r="J7"/>
  <c r="J11"/>
  <c r="J15"/>
  <c r="J19"/>
  <c r="J23"/>
  <c r="J27"/>
  <c r="J31"/>
  <c r="J35"/>
  <c r="J8"/>
  <c r="J12"/>
  <c r="J16"/>
  <c r="J20"/>
  <c r="J24"/>
  <c r="J28"/>
  <c r="J32"/>
  <c r="D22" i="13" l="1"/>
  <c r="L32" i="8"/>
  <c r="K32"/>
  <c r="L24"/>
  <c r="K24"/>
  <c r="L16"/>
  <c r="K16"/>
  <c r="L8"/>
  <c r="K8"/>
  <c r="L31"/>
  <c r="K31"/>
  <c r="L23"/>
  <c r="K23"/>
  <c r="L15"/>
  <c r="K15"/>
  <c r="L7"/>
  <c r="K7"/>
  <c r="L34"/>
  <c r="K34"/>
  <c r="L26"/>
  <c r="K26"/>
  <c r="L18"/>
  <c r="K18"/>
  <c r="L10"/>
  <c r="K10"/>
  <c r="L33"/>
  <c r="K33"/>
  <c r="L25"/>
  <c r="K25"/>
  <c r="L17"/>
  <c r="K17"/>
  <c r="L9"/>
  <c r="K9"/>
  <c r="L28"/>
  <c r="K28"/>
  <c r="L20"/>
  <c r="K20"/>
  <c r="L12"/>
  <c r="K12"/>
  <c r="L35"/>
  <c r="K35"/>
  <c r="L27"/>
  <c r="K27"/>
  <c r="L19"/>
  <c r="K19"/>
  <c r="L11"/>
  <c r="K11"/>
  <c r="K6"/>
  <c r="L6"/>
  <c r="L30"/>
  <c r="K30"/>
  <c r="L22"/>
  <c r="K22"/>
  <c r="L14"/>
  <c r="K14"/>
  <c r="C18" i="13"/>
  <c r="C21"/>
  <c r="C19"/>
  <c r="C16"/>
  <c r="L29" i="8"/>
  <c r="K29"/>
  <c r="L21"/>
  <c r="K21"/>
  <c r="L13"/>
  <c r="K13"/>
  <c r="L36" l="1"/>
  <c r="B26" i="13" l="1"/>
  <c r="C22"/>
</calcChain>
</file>

<file path=xl/sharedStrings.xml><?xml version="1.0" encoding="utf-8"?>
<sst xmlns="http://schemas.openxmlformats.org/spreadsheetml/2006/main" count="107" uniqueCount="101">
  <si>
    <t>Rekomendacja</t>
  </si>
  <si>
    <t>Dane bazowe</t>
  </si>
  <si>
    <t>Arkusz obliczeniowy</t>
  </si>
  <si>
    <t>1)</t>
  </si>
  <si>
    <t>2)</t>
  </si>
  <si>
    <t>3)</t>
  </si>
  <si>
    <t>Autor programu: Maciej Skudlik</t>
  </si>
  <si>
    <t>Program służący do analizy procesów inwestycyjnych</t>
  </si>
  <si>
    <t>Ruda Śląska 2015</t>
  </si>
  <si>
    <t>Kliknij na nazwę arkusza:</t>
  </si>
  <si>
    <t>Spis treści</t>
  </si>
  <si>
    <t>Powrót do spisu treści</t>
  </si>
  <si>
    <t>Nazwa inwestycji:</t>
  </si>
  <si>
    <t>Dane w:</t>
  </si>
  <si>
    <t>Kupno fabryki przemysłowej</t>
  </si>
  <si>
    <t>złotych</t>
  </si>
  <si>
    <t>tysiącach złotych</t>
  </si>
  <si>
    <t>euro</t>
  </si>
  <si>
    <t>tysiącach euro</t>
  </si>
  <si>
    <t>dolarach</t>
  </si>
  <si>
    <t>tysiącach dolarów</t>
  </si>
  <si>
    <t>zł</t>
  </si>
  <si>
    <t>tys. zł</t>
  </si>
  <si>
    <t>€</t>
  </si>
  <si>
    <t>k€</t>
  </si>
  <si>
    <t>$</t>
  </si>
  <si>
    <t>k$</t>
  </si>
  <si>
    <t>Inne wydatki inicjacyjne</t>
  </si>
  <si>
    <t>Wartość inwestycji</t>
  </si>
  <si>
    <t>Razem nakłady inwestycyjne</t>
  </si>
  <si>
    <t>Szacowana roczna korzyść z inwestycji</t>
  </si>
  <si>
    <t>Szacowane roczne wydatki</t>
  </si>
  <si>
    <t>Razem saldo roczne z inwestycji</t>
  </si>
  <si>
    <t>Ewentualne koszty likwidacji</t>
  </si>
  <si>
    <t>Ewentualna wartość rezydualna</t>
  </si>
  <si>
    <t>Czas życia inwestycji</t>
  </si>
  <si>
    <t>Decyzje inwestora:</t>
  </si>
  <si>
    <t>Klasyfikacja ryzyka związanego z inwestycją</t>
  </si>
  <si>
    <t>Maksymalny dopuszczalny okres zwrotu</t>
  </si>
  <si>
    <t>Przejście do arkusza obliczeniowego</t>
  </si>
  <si>
    <t>Rok</t>
  </si>
  <si>
    <t>Wpływy</t>
  </si>
  <si>
    <t>Wydatki</t>
  </si>
  <si>
    <t>Wpływy zdyskontowane</t>
  </si>
  <si>
    <t>Wydatki zdyskontowane</t>
  </si>
  <si>
    <t>Saldo</t>
  </si>
  <si>
    <t>Saldo skumulowane</t>
  </si>
  <si>
    <t>Zwrot TAK/NIE</t>
  </si>
  <si>
    <t>Współczynnik</t>
  </si>
  <si>
    <t>Stopa dyskontowa =</t>
  </si>
  <si>
    <t>Rok 1</t>
  </si>
  <si>
    <t>Rok 2</t>
  </si>
  <si>
    <t>Rok 3</t>
  </si>
  <si>
    <t>Rok 4</t>
  </si>
  <si>
    <t>Rok 5</t>
  </si>
  <si>
    <t>Rok 6</t>
  </si>
  <si>
    <t>Rok 7</t>
  </si>
  <si>
    <t>Rok 8</t>
  </si>
  <si>
    <t>Rok 9</t>
  </si>
  <si>
    <t>Rok 10</t>
  </si>
  <si>
    <t>Rok 11</t>
  </si>
  <si>
    <t>Rok 12</t>
  </si>
  <si>
    <t>Rok 13</t>
  </si>
  <si>
    <t>Rok 14</t>
  </si>
  <si>
    <t>Rok 15</t>
  </si>
  <si>
    <t>Rok 16</t>
  </si>
  <si>
    <t>Rok 17</t>
  </si>
  <si>
    <t>Rok 18</t>
  </si>
  <si>
    <t>Rok 19</t>
  </si>
  <si>
    <t>Rok 20</t>
  </si>
  <si>
    <t>Rok 21</t>
  </si>
  <si>
    <t>Rok 22</t>
  </si>
  <si>
    <t>Rok 23</t>
  </si>
  <si>
    <t>Rok 24</t>
  </si>
  <si>
    <t>Rok 25</t>
  </si>
  <si>
    <t>Rok 26</t>
  </si>
  <si>
    <t>Rok 27</t>
  </si>
  <si>
    <t>Rok 28</t>
  </si>
  <si>
    <t>Rok 29</t>
  </si>
  <si>
    <t>Rok 30</t>
  </si>
  <si>
    <t>Suma</t>
  </si>
  <si>
    <t>Zobacz wykres z przepływami nominalnymi</t>
  </si>
  <si>
    <t>Zobacz wykres z przepływami zdyskontowanymi</t>
  </si>
  <si>
    <t>Przejdż do podsumowania</t>
  </si>
  <si>
    <t>Zobacz wykres z saldem inwestycji</t>
  </si>
  <si>
    <t>Wykres przedstawiający przepływy nominalne inwestycji</t>
  </si>
  <si>
    <t>Powrót do obliczeń</t>
  </si>
  <si>
    <t>Wykres przedstawiający przepływy zdyskontowane inwestycji</t>
  </si>
  <si>
    <t>Wykres przedstawiający saldo inwestycji</t>
  </si>
  <si>
    <t>Podsumowanie inwestycji:</t>
  </si>
  <si>
    <t>Założenia inwestycji:</t>
  </si>
  <si>
    <t>Wskaźniki inwestycji:</t>
  </si>
  <si>
    <t>NPV =</t>
  </si>
  <si>
    <t>(wartość dodana związana z inwestycją)</t>
  </si>
  <si>
    <t>NPV/rok =</t>
  </si>
  <si>
    <t>IRR =</t>
  </si>
  <si>
    <t>(stopa zwrotu z inwestycji)</t>
  </si>
  <si>
    <t>IRR/rok =</t>
  </si>
  <si>
    <t>(okres zwrotu z inwestycji)</t>
  </si>
  <si>
    <t>DPP =</t>
  </si>
  <si>
    <t>Rekomendacja: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</si>
</sst>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0.0%"/>
  </numFmts>
  <fonts count="10">
    <font>
      <sz val="12"/>
      <color theme="1"/>
      <name val="Times New Roman"/>
      <family val="2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sz val="12"/>
      <color rgb="FFFF0000"/>
      <name val="Times New Roman"/>
      <family val="2"/>
      <charset val="238"/>
    </font>
    <font>
      <sz val="8"/>
      <name val="Tahoma"/>
      <family val="2"/>
      <charset val="238"/>
    </font>
    <font>
      <sz val="12"/>
      <color theme="1"/>
      <name val="Times New Roman"/>
      <family val="2"/>
      <charset val="238"/>
    </font>
    <font>
      <sz val="14"/>
      <color theme="1"/>
      <name val="Times New Roman"/>
      <family val="2"/>
      <charset val="238"/>
    </font>
    <font>
      <sz val="14"/>
      <color theme="1"/>
      <name val="Times New Roman"/>
      <family val="1"/>
      <charset val="238"/>
    </font>
    <font>
      <b/>
      <sz val="14"/>
      <color rgb="FFFF0000"/>
      <name val="Times New Roman"/>
      <family val="2"/>
      <charset val="238"/>
    </font>
    <font>
      <u/>
      <sz val="12"/>
      <color theme="10"/>
      <name val="Times New Roman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/>
    <xf numFmtId="3" fontId="0" fillId="0" borderId="0" xfId="0" applyNumberFormat="1"/>
    <xf numFmtId="3" fontId="3" fillId="2" borderId="1" xfId="0" applyNumberFormat="1" applyFont="1" applyFill="1" applyBorder="1" applyProtection="1">
      <protection locked="0"/>
    </xf>
    <xf numFmtId="3" fontId="0" fillId="0" borderId="0" xfId="0" applyNumberFormat="1" applyAlignment="1">
      <alignment horizontal="right"/>
    </xf>
    <xf numFmtId="3" fontId="0" fillId="0" borderId="0" xfId="0" applyNumberFormat="1" applyProtection="1">
      <protection locked="0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left" wrapText="1"/>
    </xf>
    <xf numFmtId="9" fontId="0" fillId="0" borderId="0" xfId="1" applyFont="1" applyAlignment="1">
      <alignment horizontal="left" wrapText="1"/>
    </xf>
    <xf numFmtId="3" fontId="0" fillId="0" borderId="0" xfId="0" applyNumberFormat="1" applyAlignment="1">
      <alignment horizontal="right" wrapText="1"/>
    </xf>
    <xf numFmtId="164" fontId="0" fillId="0" borderId="0" xfId="0" applyNumberFormat="1" applyAlignment="1">
      <alignment horizontal="right" wrapText="1"/>
    </xf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3" fontId="7" fillId="0" borderId="0" xfId="0" applyNumberFormat="1" applyFont="1"/>
    <xf numFmtId="165" fontId="6" fillId="0" borderId="0" xfId="1" applyNumberFormat="1" applyFont="1"/>
    <xf numFmtId="0" fontId="9" fillId="0" borderId="0" xfId="2" applyAlignment="1" applyProtection="1">
      <protection locked="0"/>
    </xf>
    <xf numFmtId="3" fontId="9" fillId="0" borderId="0" xfId="2" applyNumberFormat="1" applyAlignment="1" applyProtection="1">
      <protection locked="0"/>
    </xf>
    <xf numFmtId="3" fontId="9" fillId="0" borderId="0" xfId="2" applyNumberFormat="1" applyAlignment="1" applyProtection="1">
      <alignment horizontal="left" wrapText="1"/>
      <protection locked="0"/>
    </xf>
    <xf numFmtId="3" fontId="0" fillId="0" borderId="0" xfId="0" applyNumberFormat="1" applyAlignment="1">
      <alignment horizontal="right" wrapText="1"/>
    </xf>
    <xf numFmtId="3" fontId="9" fillId="0" borderId="0" xfId="2" applyNumberFormat="1" applyAlignment="1" applyProtection="1">
      <alignment wrapText="1"/>
      <protection locked="0"/>
    </xf>
    <xf numFmtId="3" fontId="8" fillId="0" borderId="0" xfId="0" applyNumberFormat="1" applyFont="1" applyAlignment="1"/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'Arkusz obliczeniowy'!$D$5</c:f>
              <c:strCache>
                <c:ptCount val="1"/>
                <c:pt idx="0">
                  <c:v>Wpływy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obliczeniowy'!$D$6:$D$35</c:f>
              <c:numCache>
                <c:formatCode>#,##0</c:formatCode>
                <c:ptCount val="30"/>
                <c:pt idx="0">
                  <c:v>2800</c:v>
                </c:pt>
                <c:pt idx="1">
                  <c:v>2800</c:v>
                </c:pt>
                <c:pt idx="2">
                  <c:v>2800</c:v>
                </c:pt>
                <c:pt idx="3">
                  <c:v>2800</c:v>
                </c:pt>
                <c:pt idx="4">
                  <c:v>2800</c:v>
                </c:pt>
                <c:pt idx="5">
                  <c:v>2800</c:v>
                </c:pt>
                <c:pt idx="6">
                  <c:v>2800</c:v>
                </c:pt>
                <c:pt idx="7">
                  <c:v>2800</c:v>
                </c:pt>
                <c:pt idx="8">
                  <c:v>2800</c:v>
                </c:pt>
                <c:pt idx="9">
                  <c:v>2800</c:v>
                </c:pt>
                <c:pt idx="10">
                  <c:v>2800</c:v>
                </c:pt>
                <c:pt idx="11">
                  <c:v>2800</c:v>
                </c:pt>
                <c:pt idx="12">
                  <c:v>2800</c:v>
                </c:pt>
                <c:pt idx="13">
                  <c:v>2800</c:v>
                </c:pt>
                <c:pt idx="14">
                  <c:v>2800</c:v>
                </c:pt>
                <c:pt idx="15">
                  <c:v>2800</c:v>
                </c:pt>
                <c:pt idx="16">
                  <c:v>2800</c:v>
                </c:pt>
                <c:pt idx="17">
                  <c:v>2800</c:v>
                </c:pt>
                <c:pt idx="18">
                  <c:v>2800</c:v>
                </c:pt>
                <c:pt idx="19">
                  <c:v>2800</c:v>
                </c:pt>
                <c:pt idx="20">
                  <c:v>2800</c:v>
                </c:pt>
                <c:pt idx="21">
                  <c:v>2800</c:v>
                </c:pt>
                <c:pt idx="22">
                  <c:v>2800</c:v>
                </c:pt>
                <c:pt idx="23">
                  <c:v>2800</c:v>
                </c:pt>
                <c:pt idx="24">
                  <c:v>7800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'Arkusz obliczeniowy'!$E$5</c:f>
              <c:strCache>
                <c:ptCount val="1"/>
                <c:pt idx="0">
                  <c:v>Wydatki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obliczeniowy'!$E$6:$E$35</c:f>
              <c:numCache>
                <c:formatCode>#,##0</c:formatCode>
                <c:ptCount val="30"/>
                <c:pt idx="0">
                  <c:v>19900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2500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axId val="74857472"/>
        <c:axId val="74859264"/>
      </c:barChart>
      <c:catAx>
        <c:axId val="74857472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74859264"/>
        <c:crosses val="autoZero"/>
        <c:auto val="1"/>
        <c:lblAlgn val="ctr"/>
        <c:lblOffset val="100"/>
      </c:catAx>
      <c:valAx>
        <c:axId val="74859264"/>
        <c:scaling>
          <c:orientation val="minMax"/>
        </c:scaling>
        <c:axPos val="l"/>
        <c:majorGridlines/>
        <c:numFmt formatCode="#,##0" sourceLinked="1"/>
        <c:tickLblPos val="nextTo"/>
        <c:crossAx val="74857472"/>
        <c:crosses val="autoZero"/>
        <c:crossBetween val="between"/>
      </c:valAx>
    </c:plotArea>
    <c:legend>
      <c:legendPos val="t"/>
    </c:legend>
    <c:plotVisOnly val="1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'Arkusz obliczeniowy'!$G$5</c:f>
              <c:strCache>
                <c:ptCount val="1"/>
                <c:pt idx="0">
                  <c:v>Wpływy zdyskontowane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obliczeniowy'!$G$6:$G$35</c:f>
              <c:numCache>
                <c:formatCode>#,##0</c:formatCode>
                <c:ptCount val="30"/>
                <c:pt idx="0">
                  <c:v>2800</c:v>
                </c:pt>
                <c:pt idx="1">
                  <c:v>2520</c:v>
                </c:pt>
                <c:pt idx="2">
                  <c:v>2268</c:v>
                </c:pt>
                <c:pt idx="3">
                  <c:v>2041.2000000000003</c:v>
                </c:pt>
                <c:pt idx="4">
                  <c:v>1837.0800000000004</c:v>
                </c:pt>
                <c:pt idx="5">
                  <c:v>1653.3720000000005</c:v>
                </c:pt>
                <c:pt idx="6">
                  <c:v>1488.0348000000004</c:v>
                </c:pt>
                <c:pt idx="7">
                  <c:v>1339.2313200000003</c:v>
                </c:pt>
                <c:pt idx="8">
                  <c:v>1205.3081880000004</c:v>
                </c:pt>
                <c:pt idx="9">
                  <c:v>1084.7773692000005</c:v>
                </c:pt>
                <c:pt idx="10">
                  <c:v>976.29963228000042</c:v>
                </c:pt>
                <c:pt idx="11">
                  <c:v>878.66966905200047</c:v>
                </c:pt>
                <c:pt idx="12">
                  <c:v>790.80270214680047</c:v>
                </c:pt>
                <c:pt idx="13">
                  <c:v>711.72243193212034</c:v>
                </c:pt>
                <c:pt idx="14">
                  <c:v>640.55018873890833</c:v>
                </c:pt>
                <c:pt idx="15">
                  <c:v>576.49516986501749</c:v>
                </c:pt>
                <c:pt idx="16">
                  <c:v>518.84565287851569</c:v>
                </c:pt>
                <c:pt idx="17">
                  <c:v>466.96108759066414</c:v>
                </c:pt>
                <c:pt idx="18">
                  <c:v>420.26497883159777</c:v>
                </c:pt>
                <c:pt idx="19">
                  <c:v>378.238480948438</c:v>
                </c:pt>
                <c:pt idx="20">
                  <c:v>340.41463285359424</c:v>
                </c:pt>
                <c:pt idx="21">
                  <c:v>306.3731695682348</c:v>
                </c:pt>
                <c:pt idx="22">
                  <c:v>275.73585261141136</c:v>
                </c:pt>
                <c:pt idx="23">
                  <c:v>248.16226735027021</c:v>
                </c:pt>
                <c:pt idx="24">
                  <c:v>622.17825599960599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'Arkusz obliczeniowy'!$H$5</c:f>
              <c:strCache>
                <c:ptCount val="1"/>
                <c:pt idx="0">
                  <c:v>Wydatki zdyskontowane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obliczeniowy'!$H$6:$H$35</c:f>
              <c:numCache>
                <c:formatCode>#,##0</c:formatCode>
                <c:ptCount val="30"/>
                <c:pt idx="0">
                  <c:v>19900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199.41610769218141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axId val="81155584"/>
        <c:axId val="81157120"/>
      </c:barChart>
      <c:catAx>
        <c:axId val="81155584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81157120"/>
        <c:crosses val="autoZero"/>
        <c:auto val="1"/>
        <c:lblAlgn val="ctr"/>
        <c:lblOffset val="100"/>
      </c:catAx>
      <c:valAx>
        <c:axId val="81157120"/>
        <c:scaling>
          <c:orientation val="minMax"/>
        </c:scaling>
        <c:axPos val="l"/>
        <c:majorGridlines/>
        <c:numFmt formatCode="#,##0" sourceLinked="1"/>
        <c:tickLblPos val="nextTo"/>
        <c:crossAx val="81155584"/>
        <c:crosses val="autoZero"/>
        <c:crossBetween val="between"/>
      </c:valAx>
    </c:plotArea>
    <c:legend>
      <c:legendPos val="t"/>
    </c:legend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'Arkusz obliczeniowy'!$I$5</c:f>
              <c:strCache>
                <c:ptCount val="1"/>
                <c:pt idx="0">
                  <c:v>Saldo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obliczeniowy'!$I$6:$I$35</c:f>
              <c:numCache>
                <c:formatCode>#,##0</c:formatCode>
                <c:ptCount val="30"/>
                <c:pt idx="0">
                  <c:v>-17100</c:v>
                </c:pt>
                <c:pt idx="1">
                  <c:v>2520</c:v>
                </c:pt>
                <c:pt idx="2">
                  <c:v>2268</c:v>
                </c:pt>
                <c:pt idx="3">
                  <c:v>2041.2000000000003</c:v>
                </c:pt>
                <c:pt idx="4">
                  <c:v>1837.0800000000004</c:v>
                </c:pt>
                <c:pt idx="5">
                  <c:v>1653.3720000000005</c:v>
                </c:pt>
                <c:pt idx="6">
                  <c:v>1488.0348000000004</c:v>
                </c:pt>
                <c:pt idx="7">
                  <c:v>1339.2313200000003</c:v>
                </c:pt>
                <c:pt idx="8">
                  <c:v>1205.3081880000004</c:v>
                </c:pt>
                <c:pt idx="9">
                  <c:v>1084.7773692000005</c:v>
                </c:pt>
                <c:pt idx="10">
                  <c:v>976.29963228000042</c:v>
                </c:pt>
                <c:pt idx="11">
                  <c:v>878.66966905200047</c:v>
                </c:pt>
                <c:pt idx="12">
                  <c:v>790.80270214680047</c:v>
                </c:pt>
                <c:pt idx="13">
                  <c:v>711.72243193212034</c:v>
                </c:pt>
                <c:pt idx="14">
                  <c:v>640.55018873890833</c:v>
                </c:pt>
                <c:pt idx="15">
                  <c:v>576.49516986501749</c:v>
                </c:pt>
                <c:pt idx="16">
                  <c:v>518.84565287851569</c:v>
                </c:pt>
                <c:pt idx="17">
                  <c:v>466.96108759066414</c:v>
                </c:pt>
                <c:pt idx="18">
                  <c:v>420.26497883159777</c:v>
                </c:pt>
                <c:pt idx="19">
                  <c:v>378.238480948438</c:v>
                </c:pt>
                <c:pt idx="20">
                  <c:v>340.41463285359424</c:v>
                </c:pt>
                <c:pt idx="21">
                  <c:v>306.3731695682348</c:v>
                </c:pt>
                <c:pt idx="22">
                  <c:v>275.73585261141136</c:v>
                </c:pt>
                <c:pt idx="23">
                  <c:v>248.16226735027021</c:v>
                </c:pt>
                <c:pt idx="24">
                  <c:v>422.76214830742458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'Arkusz obliczeniowy'!$J$5</c:f>
              <c:strCache>
                <c:ptCount val="1"/>
                <c:pt idx="0">
                  <c:v>Saldo skumulowane</c:v>
                </c:pt>
              </c:strCache>
            </c:strRef>
          </c:tx>
          <c:cat>
            <c:strRef>
              <c:f>'Arkusz obliczeniowy'!$C$6:$C$35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'Arkusz obliczeniowy'!$J$6:$J$35</c:f>
              <c:numCache>
                <c:formatCode>#,##0</c:formatCode>
                <c:ptCount val="30"/>
                <c:pt idx="0">
                  <c:v>-17100</c:v>
                </c:pt>
                <c:pt idx="1">
                  <c:v>-14580</c:v>
                </c:pt>
                <c:pt idx="2">
                  <c:v>-12312</c:v>
                </c:pt>
                <c:pt idx="3">
                  <c:v>-10270.799999999999</c:v>
                </c:pt>
                <c:pt idx="4">
                  <c:v>-8433.7199999999993</c:v>
                </c:pt>
                <c:pt idx="5">
                  <c:v>-6780.347999999999</c:v>
                </c:pt>
                <c:pt idx="6">
                  <c:v>-5292.3131999999987</c:v>
                </c:pt>
                <c:pt idx="7">
                  <c:v>-3953.0818799999984</c:v>
                </c:pt>
                <c:pt idx="8">
                  <c:v>-2747.7736919999979</c:v>
                </c:pt>
                <c:pt idx="9">
                  <c:v>-1662.9963227999974</c:v>
                </c:pt>
                <c:pt idx="10">
                  <c:v>-686.69669051999699</c:v>
                </c:pt>
                <c:pt idx="11">
                  <c:v>191.97297853200348</c:v>
                </c:pt>
                <c:pt idx="12">
                  <c:v>982.77568067880395</c:v>
                </c:pt>
                <c:pt idx="13">
                  <c:v>1694.4981126109242</c:v>
                </c:pt>
                <c:pt idx="14">
                  <c:v>2335.0483013498324</c:v>
                </c:pt>
                <c:pt idx="15">
                  <c:v>2911.5434712148499</c:v>
                </c:pt>
                <c:pt idx="16">
                  <c:v>3430.3891240933654</c:v>
                </c:pt>
                <c:pt idx="17">
                  <c:v>3897.3502116840295</c:v>
                </c:pt>
                <c:pt idx="18">
                  <c:v>4317.6151905156275</c:v>
                </c:pt>
                <c:pt idx="19">
                  <c:v>4695.8536714640659</c:v>
                </c:pt>
                <c:pt idx="20">
                  <c:v>5036.2683043176603</c:v>
                </c:pt>
                <c:pt idx="21">
                  <c:v>5342.6414738858948</c:v>
                </c:pt>
                <c:pt idx="22">
                  <c:v>5618.3773264973061</c:v>
                </c:pt>
                <c:pt idx="23">
                  <c:v>5866.5395938475758</c:v>
                </c:pt>
                <c:pt idx="24">
                  <c:v>6289.3017421550003</c:v>
                </c:pt>
                <c:pt idx="25">
                  <c:v>6289.3017421550003</c:v>
                </c:pt>
                <c:pt idx="26">
                  <c:v>6289.3017421550003</c:v>
                </c:pt>
                <c:pt idx="27">
                  <c:v>6289.3017421550003</c:v>
                </c:pt>
                <c:pt idx="28">
                  <c:v>6289.3017421550003</c:v>
                </c:pt>
                <c:pt idx="29">
                  <c:v>6289.3017421550003</c:v>
                </c:pt>
              </c:numCache>
            </c:numRef>
          </c:val>
        </c:ser>
        <c:axId val="81276928"/>
        <c:axId val="81278464"/>
      </c:barChart>
      <c:catAx>
        <c:axId val="81276928"/>
        <c:scaling>
          <c:orientation val="minMax"/>
        </c:scaling>
        <c:axPos val="b"/>
        <c:tickLblPos val="low"/>
        <c:txPr>
          <a:bodyPr rot="-5400000" vert="horz"/>
          <a:lstStyle/>
          <a:p>
            <a:pPr>
              <a:defRPr/>
            </a:pPr>
            <a:endParaRPr lang="pl-PL"/>
          </a:p>
        </c:txPr>
        <c:crossAx val="81278464"/>
        <c:crosses val="autoZero"/>
        <c:auto val="1"/>
        <c:lblAlgn val="ctr"/>
        <c:lblOffset val="100"/>
      </c:catAx>
      <c:valAx>
        <c:axId val="81278464"/>
        <c:scaling>
          <c:orientation val="minMax"/>
        </c:scaling>
        <c:axPos val="l"/>
        <c:majorGridlines/>
        <c:numFmt formatCode="#,##0" sourceLinked="1"/>
        <c:tickLblPos val="nextTo"/>
        <c:crossAx val="81276928"/>
        <c:crosses val="autoZero"/>
        <c:crossBetween val="between"/>
      </c:valAx>
      <c:spPr>
        <a:noFill/>
        <a:ln w="25400">
          <a:noFill/>
        </a:ln>
      </c:spPr>
    </c:plotArea>
    <c:legend>
      <c:legendPos val="t"/>
    </c:legend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5</xdr:row>
      <xdr:rowOff>47625</xdr:rowOff>
    </xdr:from>
    <xdr:to>
      <xdr:col>1</xdr:col>
      <xdr:colOff>6858000</xdr:colOff>
      <xdr:row>23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5</xdr:row>
      <xdr:rowOff>47625</xdr:rowOff>
    </xdr:from>
    <xdr:to>
      <xdr:col>1</xdr:col>
      <xdr:colOff>6858000</xdr:colOff>
      <xdr:row>23</xdr:row>
      <xdr:rowOff>142875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5</xdr:row>
      <xdr:rowOff>47625</xdr:rowOff>
    </xdr:from>
    <xdr:to>
      <xdr:col>1</xdr:col>
      <xdr:colOff>6858000</xdr:colOff>
      <xdr:row>23</xdr:row>
      <xdr:rowOff>142875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11"/>
  <sheetViews>
    <sheetView showGridLines="0" showRowColHeaders="0" tabSelected="1" workbookViewId="0">
      <selection activeCell="B2" sqref="B2"/>
    </sheetView>
  </sheetViews>
  <sheetFormatPr defaultRowHeight="20.25"/>
  <cols>
    <col min="1" max="1" width="3.375" style="1" bestFit="1" customWidth="1"/>
    <col min="2" max="2" width="61.5" style="1" bestFit="1" customWidth="1"/>
    <col min="3" max="3" width="9" style="1" customWidth="1"/>
    <col min="4" max="16384" width="9" style="1"/>
  </cols>
  <sheetData>
    <row r="2" spans="1:2">
      <c r="B2" s="1" t="s">
        <v>7</v>
      </c>
    </row>
    <row r="3" spans="1:2">
      <c r="B3" s="1" t="s">
        <v>6</v>
      </c>
    </row>
    <row r="4" spans="1:2">
      <c r="B4" s="1" t="s">
        <v>8</v>
      </c>
    </row>
    <row r="6" spans="1:2">
      <c r="B6" s="4" t="s">
        <v>10</v>
      </c>
    </row>
    <row r="8" spans="1:2">
      <c r="B8" s="2" t="s">
        <v>9</v>
      </c>
    </row>
    <row r="9" spans="1:2">
      <c r="A9" s="3" t="s">
        <v>3</v>
      </c>
      <c r="B9" s="18" t="s">
        <v>1</v>
      </c>
    </row>
    <row r="10" spans="1:2">
      <c r="A10" s="3" t="s">
        <v>4</v>
      </c>
      <c r="B10" s="18" t="s">
        <v>2</v>
      </c>
    </row>
    <row r="11" spans="1:2">
      <c r="A11" s="3" t="s">
        <v>5</v>
      </c>
      <c r="B11" s="18" t="s">
        <v>0</v>
      </c>
    </row>
  </sheetData>
  <sheetProtection selectLockedCells="1"/>
  <hyperlinks>
    <hyperlink ref="B9" location="'Dane bazowe'!A1" display="Dane bazowe"/>
    <hyperlink ref="B10" location="'Arkusz obliczeniowy'!A1" display="Arkusz obliczeniowy"/>
    <hyperlink ref="B11" location="Rekomendacja!A1" display="Rekomendacj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31"/>
  <sheetViews>
    <sheetView showGridLines="0" showRowColHeaders="0" workbookViewId="0">
      <selection activeCell="B7" sqref="B7"/>
    </sheetView>
  </sheetViews>
  <sheetFormatPr defaultRowHeight="21" customHeight="1"/>
  <cols>
    <col min="1" max="1" width="4.625" style="5" customWidth="1"/>
    <col min="2" max="2" width="40.625" style="5" customWidth="1"/>
    <col min="3" max="3" width="11.375" style="8" hidden="1" customWidth="1"/>
    <col min="4" max="4" width="10.625" style="5" customWidth="1"/>
    <col min="5" max="5" width="20.625" style="5" customWidth="1"/>
    <col min="6" max="6" width="10.625" style="5" customWidth="1"/>
    <col min="7" max="7" width="20.625" style="5" hidden="1" customWidth="1"/>
    <col min="8" max="8" width="9" style="5" hidden="1" customWidth="1"/>
    <col min="9" max="16384" width="9" style="5"/>
  </cols>
  <sheetData>
    <row r="1" spans="2:8" ht="21" customHeight="1">
      <c r="G1" s="5" t="s">
        <v>15</v>
      </c>
      <c r="H1" s="5" t="s">
        <v>21</v>
      </c>
    </row>
    <row r="2" spans="2:8" ht="21" customHeight="1">
      <c r="B2" s="19" t="s">
        <v>11</v>
      </c>
      <c r="G2" s="5" t="s">
        <v>16</v>
      </c>
      <c r="H2" s="5" t="s">
        <v>22</v>
      </c>
    </row>
    <row r="3" spans="2:8" ht="21" customHeight="1">
      <c r="G3" s="5" t="s">
        <v>17</v>
      </c>
      <c r="H3" s="5" t="s">
        <v>23</v>
      </c>
    </row>
    <row r="4" spans="2:8" ht="21" customHeight="1" thickBot="1">
      <c r="B4" s="5" t="s">
        <v>12</v>
      </c>
      <c r="G4" s="5" t="s">
        <v>18</v>
      </c>
      <c r="H4" s="5" t="s">
        <v>24</v>
      </c>
    </row>
    <row r="5" spans="2:8" ht="21" customHeight="1" thickBot="1">
      <c r="B5" s="6" t="s">
        <v>14</v>
      </c>
      <c r="G5" s="5" t="s">
        <v>19</v>
      </c>
      <c r="H5" s="5" t="s">
        <v>25</v>
      </c>
    </row>
    <row r="6" spans="2:8" ht="21" customHeight="1">
      <c r="G6" s="5" t="s">
        <v>20</v>
      </c>
      <c r="H6" s="5" t="s">
        <v>26</v>
      </c>
    </row>
    <row r="7" spans="2:8" ht="21" customHeight="1">
      <c r="B7" s="5" t="s">
        <v>13</v>
      </c>
    </row>
    <row r="8" spans="2:8" ht="21" customHeight="1">
      <c r="C8" s="8">
        <v>2</v>
      </c>
    </row>
    <row r="12" spans="2:8" ht="21" customHeight="1">
      <c r="B12" s="5" t="str">
        <f>IF(C8=1,G1,IF(C8=2,G2,IF(C8=3,G3,IF(C8=4,G4,IF(C8=5,G5,G6)))))</f>
        <v>tysiącach złotych</v>
      </c>
      <c r="C12" s="8" t="str">
        <f>IF(C8=1,H1,IF(C8=2,H2,IF(C8=3,H3,IF(C8=4,H4,IF(C8=5,H5,H6)))))</f>
        <v>tys. zł</v>
      </c>
    </row>
    <row r="13" spans="2:8" ht="21" customHeight="1" thickBot="1"/>
    <row r="14" spans="2:8" ht="21" customHeight="1" thickBot="1">
      <c r="B14" s="5" t="s">
        <v>28</v>
      </c>
      <c r="E14" s="6">
        <v>17600</v>
      </c>
      <c r="F14" s="5" t="str">
        <f t="shared" ref="F14:F21" si="0">waluta</f>
        <v>tys. zł</v>
      </c>
    </row>
    <row r="15" spans="2:8" ht="21" customHeight="1" thickBot="1">
      <c r="B15" s="5" t="s">
        <v>27</v>
      </c>
      <c r="E15" s="6">
        <v>2300</v>
      </c>
      <c r="F15" s="5" t="str">
        <f t="shared" si="0"/>
        <v>tys. zł</v>
      </c>
    </row>
    <row r="16" spans="2:8" ht="21" customHeight="1" thickBot="1">
      <c r="B16" s="5" t="s">
        <v>29</v>
      </c>
      <c r="E16" s="5">
        <f>SUM(E14,E15)</f>
        <v>19900</v>
      </c>
      <c r="F16" s="5" t="str">
        <f t="shared" si="0"/>
        <v>tys. zł</v>
      </c>
    </row>
    <row r="17" spans="2:6" ht="21" customHeight="1" thickBot="1">
      <c r="B17" s="5" t="s">
        <v>30</v>
      </c>
      <c r="E17" s="6">
        <v>9200</v>
      </c>
      <c r="F17" s="5" t="str">
        <f t="shared" si="0"/>
        <v>tys. zł</v>
      </c>
    </row>
    <row r="18" spans="2:6" ht="21" customHeight="1" thickBot="1">
      <c r="B18" s="5" t="s">
        <v>31</v>
      </c>
      <c r="E18" s="6">
        <v>6400</v>
      </c>
      <c r="F18" s="5" t="str">
        <f t="shared" si="0"/>
        <v>tys. zł</v>
      </c>
    </row>
    <row r="19" spans="2:6" ht="21" customHeight="1" thickBot="1">
      <c r="B19" s="5" t="s">
        <v>32</v>
      </c>
      <c r="E19" s="5">
        <f>E17-E18</f>
        <v>2800</v>
      </c>
      <c r="F19" s="5" t="str">
        <f t="shared" si="0"/>
        <v>tys. zł</v>
      </c>
    </row>
    <row r="20" spans="2:6" ht="21" customHeight="1" thickBot="1">
      <c r="B20" s="5" t="s">
        <v>33</v>
      </c>
      <c r="E20" s="6">
        <v>2500</v>
      </c>
      <c r="F20" s="5" t="str">
        <f t="shared" si="0"/>
        <v>tys. zł</v>
      </c>
    </row>
    <row r="21" spans="2:6" ht="21" customHeight="1" thickBot="1">
      <c r="B21" s="5" t="s">
        <v>34</v>
      </c>
      <c r="E21" s="6">
        <v>5000</v>
      </c>
      <c r="F21" s="5" t="str">
        <f t="shared" si="0"/>
        <v>tys. zł</v>
      </c>
    </row>
    <row r="22" spans="2:6" ht="21" customHeight="1">
      <c r="B22" s="5" t="s">
        <v>35</v>
      </c>
      <c r="C22" s="8">
        <v>25</v>
      </c>
      <c r="E22" s="7">
        <f>IF(C22&lt;30,C22,"maksymalny")</f>
        <v>25</v>
      </c>
      <c r="F22" s="5" t="str">
        <f>IF(C22&lt;30,"lat(a)"," ")</f>
        <v>lat(a)</v>
      </c>
    </row>
    <row r="24" spans="2:6" ht="21" customHeight="1">
      <c r="B24" s="5" t="s">
        <v>36</v>
      </c>
    </row>
    <row r="25" spans="2:6" ht="21" customHeight="1">
      <c r="B25" s="5" t="s">
        <v>37</v>
      </c>
      <c r="C25" s="8">
        <v>2</v>
      </c>
      <c r="E25" s="7" t="str">
        <f>IF(C25=1,"niskie",IF(C25=2,"standardowe","wysokie"))</f>
        <v>standardowe</v>
      </c>
    </row>
    <row r="26" spans="2:6" ht="21" customHeight="1">
      <c r="E26" s="7"/>
    </row>
    <row r="27" spans="2:6" ht="21" customHeight="1">
      <c r="E27" s="7"/>
    </row>
    <row r="28" spans="2:6" ht="21" customHeight="1">
      <c r="E28" s="7"/>
    </row>
    <row r="29" spans="2:6" ht="21" customHeight="1">
      <c r="B29" s="5" t="s">
        <v>38</v>
      </c>
      <c r="C29" s="8">
        <v>10</v>
      </c>
      <c r="E29" s="7">
        <f>IF(C29&lt;30,C29,"maksymalny")</f>
        <v>10</v>
      </c>
      <c r="F29" s="5" t="str">
        <f>IF(C29&lt;30,"lat(a)"," ")</f>
        <v>lat(a)</v>
      </c>
    </row>
    <row r="31" spans="2:6" ht="21" customHeight="1">
      <c r="B31" s="19" t="s">
        <v>39</v>
      </c>
    </row>
  </sheetData>
  <sheetProtection selectLockedCells="1"/>
  <hyperlinks>
    <hyperlink ref="B2" location="'Spis treści'!A1" display="Powrót do spisu treści"/>
    <hyperlink ref="B31" location="'Arkusz obliczeniowy'!A1" display="Przejście do arkusza obliczeniowego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7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2"/>
  <sheetViews>
    <sheetView showGridLines="0" showRowColHeaders="0" workbookViewId="0">
      <selection activeCell="C2" sqref="C2:E2"/>
    </sheetView>
  </sheetViews>
  <sheetFormatPr defaultRowHeight="15.75"/>
  <cols>
    <col min="1" max="1" width="4.625" style="12" customWidth="1"/>
    <col min="2" max="2" width="0.125" style="12" hidden="1" customWidth="1"/>
    <col min="3" max="3" width="8.625" style="12" customWidth="1"/>
    <col min="4" max="11" width="12.625" style="12" customWidth="1"/>
    <col min="12" max="12" width="2.875" style="12" hidden="1" customWidth="1"/>
    <col min="13" max="16384" width="9" style="12"/>
  </cols>
  <sheetData>
    <row r="2" spans="2:12">
      <c r="C2" s="20" t="s">
        <v>11</v>
      </c>
      <c r="D2" s="20"/>
      <c r="E2" s="20"/>
    </row>
    <row r="4" spans="2:12">
      <c r="C4" s="21" t="s">
        <v>49</v>
      </c>
      <c r="D4" s="21"/>
      <c r="E4" s="21"/>
      <c r="F4" s="11">
        <f>IF(ryzyko=1,8%,IF(ryzyko=2,10%,13%))</f>
        <v>0.1</v>
      </c>
      <c r="J4" s="12" t="s">
        <v>13</v>
      </c>
      <c r="K4" s="12" t="str">
        <f>waluta</f>
        <v>tys. zł</v>
      </c>
    </row>
    <row r="5" spans="2:12" ht="31.5">
      <c r="C5" s="9" t="s">
        <v>40</v>
      </c>
      <c r="D5" s="9" t="s">
        <v>41</v>
      </c>
      <c r="E5" s="9" t="s">
        <v>42</v>
      </c>
      <c r="F5" s="9" t="s">
        <v>48</v>
      </c>
      <c r="G5" s="9" t="s">
        <v>43</v>
      </c>
      <c r="H5" s="9" t="s">
        <v>44</v>
      </c>
      <c r="I5" s="9" t="s">
        <v>45</v>
      </c>
      <c r="J5" s="9" t="s">
        <v>46</v>
      </c>
      <c r="K5" s="9" t="s">
        <v>47</v>
      </c>
    </row>
    <row r="6" spans="2:12">
      <c r="B6" s="12">
        <v>1</v>
      </c>
      <c r="C6" s="10" t="s">
        <v>50</v>
      </c>
      <c r="D6" s="12">
        <f t="shared" ref="D6:D35" si="0">IF(B6&lt;=czas,saldo,0)+IF(B6=czas,rezydual,0)</f>
        <v>2800</v>
      </c>
      <c r="E6" s="12">
        <f t="shared" ref="E6:E35" si="1">IF(B6=1,nakłady,0)+IF(B6=czas,likwid,0)</f>
        <v>19900</v>
      </c>
      <c r="F6" s="13">
        <v>1</v>
      </c>
      <c r="G6" s="12">
        <f>D6*F6</f>
        <v>2800</v>
      </c>
      <c r="H6" s="12">
        <f>E6*F6</f>
        <v>19900</v>
      </c>
      <c r="I6" s="12">
        <f>G6-H6</f>
        <v>-17100</v>
      </c>
      <c r="J6" s="12">
        <f>SUM(I6:$I$6)</f>
        <v>-17100</v>
      </c>
      <c r="K6" s="12" t="str">
        <f>IF(J6&gt;0,"TAK","NIE")</f>
        <v>NIE</v>
      </c>
      <c r="L6" s="12">
        <f>IF(J6&gt;0,1,0)</f>
        <v>0</v>
      </c>
    </row>
    <row r="7" spans="2:12">
      <c r="B7" s="12">
        <v>2</v>
      </c>
      <c r="C7" s="10" t="s">
        <v>51</v>
      </c>
      <c r="D7" s="12">
        <f t="shared" si="0"/>
        <v>2800</v>
      </c>
      <c r="E7" s="12">
        <f t="shared" si="1"/>
        <v>0</v>
      </c>
      <c r="F7" s="13">
        <f t="shared" ref="F7:F35" si="2">F6*(1-stopa)</f>
        <v>0.9</v>
      </c>
      <c r="G7" s="12">
        <f t="shared" ref="G7:G35" si="3">D7*F7</f>
        <v>2520</v>
      </c>
      <c r="H7" s="12">
        <f t="shared" ref="H7:H35" si="4">E7*F7</f>
        <v>0</v>
      </c>
      <c r="I7" s="12">
        <f t="shared" ref="I7:I35" si="5">G7-H7</f>
        <v>2520</v>
      </c>
      <c r="J7" s="12">
        <f>SUM(I$6:$I7)</f>
        <v>-14580</v>
      </c>
      <c r="K7" s="12" t="str">
        <f t="shared" ref="K7:K35" si="6">IF(J7&gt;0,"TAK","NIE")</f>
        <v>NIE</v>
      </c>
      <c r="L7" s="12">
        <f t="shared" ref="L7:L35" si="7">IF(J7&gt;0,1,0)</f>
        <v>0</v>
      </c>
    </row>
    <row r="8" spans="2:12">
      <c r="B8" s="12">
        <v>3</v>
      </c>
      <c r="C8" s="10" t="s">
        <v>52</v>
      </c>
      <c r="D8" s="12">
        <f t="shared" si="0"/>
        <v>2800</v>
      </c>
      <c r="E8" s="12">
        <f t="shared" si="1"/>
        <v>0</v>
      </c>
      <c r="F8" s="13">
        <f t="shared" si="2"/>
        <v>0.81</v>
      </c>
      <c r="G8" s="12">
        <f t="shared" si="3"/>
        <v>2268</v>
      </c>
      <c r="H8" s="12">
        <f t="shared" si="4"/>
        <v>0</v>
      </c>
      <c r="I8" s="12">
        <f t="shared" si="5"/>
        <v>2268</v>
      </c>
      <c r="J8" s="12">
        <f>SUM(I$6:$I8)</f>
        <v>-12312</v>
      </c>
      <c r="K8" s="12" t="str">
        <f t="shared" si="6"/>
        <v>NIE</v>
      </c>
      <c r="L8" s="12">
        <f t="shared" si="7"/>
        <v>0</v>
      </c>
    </row>
    <row r="9" spans="2:12">
      <c r="B9" s="12">
        <v>4</v>
      </c>
      <c r="C9" s="10" t="s">
        <v>53</v>
      </c>
      <c r="D9" s="12">
        <f t="shared" si="0"/>
        <v>2800</v>
      </c>
      <c r="E9" s="12">
        <f t="shared" si="1"/>
        <v>0</v>
      </c>
      <c r="F9" s="13">
        <f t="shared" si="2"/>
        <v>0.72900000000000009</v>
      </c>
      <c r="G9" s="12">
        <f t="shared" si="3"/>
        <v>2041.2000000000003</v>
      </c>
      <c r="H9" s="12">
        <f t="shared" si="4"/>
        <v>0</v>
      </c>
      <c r="I9" s="12">
        <f t="shared" si="5"/>
        <v>2041.2000000000003</v>
      </c>
      <c r="J9" s="12">
        <f>SUM(I$6:$I9)</f>
        <v>-10270.799999999999</v>
      </c>
      <c r="K9" s="12" t="str">
        <f t="shared" si="6"/>
        <v>NIE</v>
      </c>
      <c r="L9" s="12">
        <f t="shared" si="7"/>
        <v>0</v>
      </c>
    </row>
    <row r="10" spans="2:12">
      <c r="B10" s="12">
        <v>5</v>
      </c>
      <c r="C10" s="10" t="s">
        <v>54</v>
      </c>
      <c r="D10" s="12">
        <f t="shared" si="0"/>
        <v>2800</v>
      </c>
      <c r="E10" s="12">
        <f t="shared" si="1"/>
        <v>0</v>
      </c>
      <c r="F10" s="13">
        <f t="shared" si="2"/>
        <v>0.65610000000000013</v>
      </c>
      <c r="G10" s="12">
        <f t="shared" si="3"/>
        <v>1837.0800000000004</v>
      </c>
      <c r="H10" s="12">
        <f t="shared" si="4"/>
        <v>0</v>
      </c>
      <c r="I10" s="12">
        <f t="shared" si="5"/>
        <v>1837.0800000000004</v>
      </c>
      <c r="J10" s="12">
        <f>SUM(I$6:$I10)</f>
        <v>-8433.7199999999993</v>
      </c>
      <c r="K10" s="12" t="str">
        <f t="shared" si="6"/>
        <v>NIE</v>
      </c>
      <c r="L10" s="12">
        <f t="shared" si="7"/>
        <v>0</v>
      </c>
    </row>
    <row r="11" spans="2:12">
      <c r="B11" s="12">
        <v>6</v>
      </c>
      <c r="C11" s="10" t="s">
        <v>55</v>
      </c>
      <c r="D11" s="12">
        <f t="shared" si="0"/>
        <v>2800</v>
      </c>
      <c r="E11" s="12">
        <f t="shared" si="1"/>
        <v>0</v>
      </c>
      <c r="F11" s="13">
        <f t="shared" si="2"/>
        <v>0.59049000000000018</v>
      </c>
      <c r="G11" s="12">
        <f t="shared" si="3"/>
        <v>1653.3720000000005</v>
      </c>
      <c r="H11" s="12">
        <f t="shared" si="4"/>
        <v>0</v>
      </c>
      <c r="I11" s="12">
        <f t="shared" si="5"/>
        <v>1653.3720000000005</v>
      </c>
      <c r="J11" s="12">
        <f>SUM(I$6:$I11)</f>
        <v>-6780.347999999999</v>
      </c>
      <c r="K11" s="12" t="str">
        <f t="shared" si="6"/>
        <v>NIE</v>
      </c>
      <c r="L11" s="12">
        <f t="shared" si="7"/>
        <v>0</v>
      </c>
    </row>
    <row r="12" spans="2:12">
      <c r="B12" s="12">
        <v>7</v>
      </c>
      <c r="C12" s="10" t="s">
        <v>56</v>
      </c>
      <c r="D12" s="12">
        <f t="shared" si="0"/>
        <v>2800</v>
      </c>
      <c r="E12" s="12">
        <f t="shared" si="1"/>
        <v>0</v>
      </c>
      <c r="F12" s="13">
        <f t="shared" si="2"/>
        <v>0.53144100000000016</v>
      </c>
      <c r="G12" s="12">
        <f t="shared" si="3"/>
        <v>1488.0348000000004</v>
      </c>
      <c r="H12" s="12">
        <f t="shared" si="4"/>
        <v>0</v>
      </c>
      <c r="I12" s="12">
        <f t="shared" si="5"/>
        <v>1488.0348000000004</v>
      </c>
      <c r="J12" s="12">
        <f>SUM(I$6:$I12)</f>
        <v>-5292.3131999999987</v>
      </c>
      <c r="K12" s="12" t="str">
        <f t="shared" si="6"/>
        <v>NIE</v>
      </c>
      <c r="L12" s="12">
        <f t="shared" si="7"/>
        <v>0</v>
      </c>
    </row>
    <row r="13" spans="2:12">
      <c r="B13" s="12">
        <v>8</v>
      </c>
      <c r="C13" s="10" t="s">
        <v>57</v>
      </c>
      <c r="D13" s="12">
        <f t="shared" si="0"/>
        <v>2800</v>
      </c>
      <c r="E13" s="12">
        <f t="shared" si="1"/>
        <v>0</v>
      </c>
      <c r="F13" s="13">
        <f t="shared" si="2"/>
        <v>0.47829690000000014</v>
      </c>
      <c r="G13" s="12">
        <f t="shared" si="3"/>
        <v>1339.2313200000003</v>
      </c>
      <c r="H13" s="12">
        <f t="shared" si="4"/>
        <v>0</v>
      </c>
      <c r="I13" s="12">
        <f t="shared" si="5"/>
        <v>1339.2313200000003</v>
      </c>
      <c r="J13" s="12">
        <f>SUM(I$6:$I13)</f>
        <v>-3953.0818799999984</v>
      </c>
      <c r="K13" s="12" t="str">
        <f t="shared" si="6"/>
        <v>NIE</v>
      </c>
      <c r="L13" s="12">
        <f t="shared" si="7"/>
        <v>0</v>
      </c>
    </row>
    <row r="14" spans="2:12">
      <c r="B14" s="12">
        <v>9</v>
      </c>
      <c r="C14" s="10" t="s">
        <v>58</v>
      </c>
      <c r="D14" s="12">
        <f t="shared" si="0"/>
        <v>2800</v>
      </c>
      <c r="E14" s="12">
        <f t="shared" si="1"/>
        <v>0</v>
      </c>
      <c r="F14" s="13">
        <f t="shared" si="2"/>
        <v>0.43046721000000016</v>
      </c>
      <c r="G14" s="12">
        <f t="shared" si="3"/>
        <v>1205.3081880000004</v>
      </c>
      <c r="H14" s="12">
        <f t="shared" si="4"/>
        <v>0</v>
      </c>
      <c r="I14" s="12">
        <f t="shared" si="5"/>
        <v>1205.3081880000004</v>
      </c>
      <c r="J14" s="12">
        <f>SUM(I$6:$I14)</f>
        <v>-2747.7736919999979</v>
      </c>
      <c r="K14" s="12" t="str">
        <f t="shared" si="6"/>
        <v>NIE</v>
      </c>
      <c r="L14" s="12">
        <f t="shared" si="7"/>
        <v>0</v>
      </c>
    </row>
    <row r="15" spans="2:12">
      <c r="B15" s="12">
        <v>10</v>
      </c>
      <c r="C15" s="10" t="s">
        <v>59</v>
      </c>
      <c r="D15" s="12">
        <f t="shared" si="0"/>
        <v>2800</v>
      </c>
      <c r="E15" s="12">
        <f t="shared" si="1"/>
        <v>0</v>
      </c>
      <c r="F15" s="13">
        <f t="shared" si="2"/>
        <v>0.38742048900000015</v>
      </c>
      <c r="G15" s="12">
        <f t="shared" si="3"/>
        <v>1084.7773692000005</v>
      </c>
      <c r="H15" s="12">
        <f t="shared" si="4"/>
        <v>0</v>
      </c>
      <c r="I15" s="12">
        <f t="shared" si="5"/>
        <v>1084.7773692000005</v>
      </c>
      <c r="J15" s="12">
        <f>SUM(I$6:$I15)</f>
        <v>-1662.9963227999974</v>
      </c>
      <c r="K15" s="12" t="str">
        <f t="shared" si="6"/>
        <v>NIE</v>
      </c>
      <c r="L15" s="12">
        <f t="shared" si="7"/>
        <v>0</v>
      </c>
    </row>
    <row r="16" spans="2:12">
      <c r="B16" s="12">
        <v>11</v>
      </c>
      <c r="C16" s="10" t="s">
        <v>60</v>
      </c>
      <c r="D16" s="12">
        <f t="shared" si="0"/>
        <v>2800</v>
      </c>
      <c r="E16" s="12">
        <f t="shared" si="1"/>
        <v>0</v>
      </c>
      <c r="F16" s="13">
        <f t="shared" si="2"/>
        <v>0.34867844010000015</v>
      </c>
      <c r="G16" s="12">
        <f t="shared" si="3"/>
        <v>976.29963228000042</v>
      </c>
      <c r="H16" s="12">
        <f t="shared" si="4"/>
        <v>0</v>
      </c>
      <c r="I16" s="12">
        <f t="shared" si="5"/>
        <v>976.29963228000042</v>
      </c>
      <c r="J16" s="12">
        <f>SUM(I$6:$I16)</f>
        <v>-686.69669051999699</v>
      </c>
      <c r="K16" s="12" t="str">
        <f t="shared" si="6"/>
        <v>NIE</v>
      </c>
      <c r="L16" s="12">
        <f t="shared" si="7"/>
        <v>0</v>
      </c>
    </row>
    <row r="17" spans="2:12">
      <c r="B17" s="12">
        <v>12</v>
      </c>
      <c r="C17" s="10" t="s">
        <v>61</v>
      </c>
      <c r="D17" s="12">
        <f t="shared" si="0"/>
        <v>2800</v>
      </c>
      <c r="E17" s="12">
        <f t="shared" si="1"/>
        <v>0</v>
      </c>
      <c r="F17" s="13">
        <f t="shared" si="2"/>
        <v>0.31381059609000017</v>
      </c>
      <c r="G17" s="12">
        <f t="shared" si="3"/>
        <v>878.66966905200047</v>
      </c>
      <c r="H17" s="12">
        <f t="shared" si="4"/>
        <v>0</v>
      </c>
      <c r="I17" s="12">
        <f t="shared" si="5"/>
        <v>878.66966905200047</v>
      </c>
      <c r="J17" s="12">
        <f>SUM(I$6:$I17)</f>
        <v>191.97297853200348</v>
      </c>
      <c r="K17" s="12" t="str">
        <f t="shared" si="6"/>
        <v>TAK</v>
      </c>
      <c r="L17" s="12">
        <f t="shared" si="7"/>
        <v>1</v>
      </c>
    </row>
    <row r="18" spans="2:12">
      <c r="B18" s="12">
        <v>13</v>
      </c>
      <c r="C18" s="10" t="s">
        <v>62</v>
      </c>
      <c r="D18" s="12">
        <f t="shared" si="0"/>
        <v>2800</v>
      </c>
      <c r="E18" s="12">
        <f t="shared" si="1"/>
        <v>0</v>
      </c>
      <c r="F18" s="13">
        <f t="shared" si="2"/>
        <v>0.28242953648100017</v>
      </c>
      <c r="G18" s="12">
        <f t="shared" si="3"/>
        <v>790.80270214680047</v>
      </c>
      <c r="H18" s="12">
        <f t="shared" si="4"/>
        <v>0</v>
      </c>
      <c r="I18" s="12">
        <f t="shared" si="5"/>
        <v>790.80270214680047</v>
      </c>
      <c r="J18" s="12">
        <f>SUM(I$6:$I18)</f>
        <v>982.77568067880395</v>
      </c>
      <c r="K18" s="12" t="str">
        <f t="shared" si="6"/>
        <v>TAK</v>
      </c>
      <c r="L18" s="12">
        <f t="shared" si="7"/>
        <v>1</v>
      </c>
    </row>
    <row r="19" spans="2:12">
      <c r="B19" s="12">
        <v>14</v>
      </c>
      <c r="C19" s="10" t="s">
        <v>63</v>
      </c>
      <c r="D19" s="12">
        <f t="shared" si="0"/>
        <v>2800</v>
      </c>
      <c r="E19" s="12">
        <f t="shared" si="1"/>
        <v>0</v>
      </c>
      <c r="F19" s="13">
        <f t="shared" si="2"/>
        <v>0.25418658283290013</v>
      </c>
      <c r="G19" s="12">
        <f t="shared" si="3"/>
        <v>711.72243193212034</v>
      </c>
      <c r="H19" s="12">
        <f t="shared" si="4"/>
        <v>0</v>
      </c>
      <c r="I19" s="12">
        <f t="shared" si="5"/>
        <v>711.72243193212034</v>
      </c>
      <c r="J19" s="12">
        <f>SUM(I$6:$I19)</f>
        <v>1694.4981126109242</v>
      </c>
      <c r="K19" s="12" t="str">
        <f t="shared" si="6"/>
        <v>TAK</v>
      </c>
      <c r="L19" s="12">
        <f t="shared" si="7"/>
        <v>1</v>
      </c>
    </row>
    <row r="20" spans="2:12">
      <c r="B20" s="12">
        <v>15</v>
      </c>
      <c r="C20" s="10" t="s">
        <v>64</v>
      </c>
      <c r="D20" s="12">
        <f t="shared" si="0"/>
        <v>2800</v>
      </c>
      <c r="E20" s="12">
        <f t="shared" si="1"/>
        <v>0</v>
      </c>
      <c r="F20" s="13">
        <f t="shared" si="2"/>
        <v>0.22876792454961012</v>
      </c>
      <c r="G20" s="12">
        <f t="shared" si="3"/>
        <v>640.55018873890833</v>
      </c>
      <c r="H20" s="12">
        <f t="shared" si="4"/>
        <v>0</v>
      </c>
      <c r="I20" s="12">
        <f t="shared" si="5"/>
        <v>640.55018873890833</v>
      </c>
      <c r="J20" s="12">
        <f>SUM(I$6:$I20)</f>
        <v>2335.0483013498324</v>
      </c>
      <c r="K20" s="12" t="str">
        <f t="shared" si="6"/>
        <v>TAK</v>
      </c>
      <c r="L20" s="12">
        <f t="shared" si="7"/>
        <v>1</v>
      </c>
    </row>
    <row r="21" spans="2:12">
      <c r="B21" s="12">
        <v>16</v>
      </c>
      <c r="C21" s="10" t="s">
        <v>65</v>
      </c>
      <c r="D21" s="12">
        <f t="shared" si="0"/>
        <v>2800</v>
      </c>
      <c r="E21" s="12">
        <f t="shared" si="1"/>
        <v>0</v>
      </c>
      <c r="F21" s="13">
        <f t="shared" si="2"/>
        <v>0.2058911320946491</v>
      </c>
      <c r="G21" s="12">
        <f t="shared" si="3"/>
        <v>576.49516986501749</v>
      </c>
      <c r="H21" s="12">
        <f t="shared" si="4"/>
        <v>0</v>
      </c>
      <c r="I21" s="12">
        <f t="shared" si="5"/>
        <v>576.49516986501749</v>
      </c>
      <c r="J21" s="12">
        <f>SUM(I$6:$I21)</f>
        <v>2911.5434712148499</v>
      </c>
      <c r="K21" s="12" t="str">
        <f t="shared" si="6"/>
        <v>TAK</v>
      </c>
      <c r="L21" s="12">
        <f t="shared" si="7"/>
        <v>1</v>
      </c>
    </row>
    <row r="22" spans="2:12">
      <c r="B22" s="12">
        <v>17</v>
      </c>
      <c r="C22" s="10" t="s">
        <v>66</v>
      </c>
      <c r="D22" s="12">
        <f t="shared" si="0"/>
        <v>2800</v>
      </c>
      <c r="E22" s="12">
        <f t="shared" si="1"/>
        <v>0</v>
      </c>
      <c r="F22" s="13">
        <f t="shared" si="2"/>
        <v>0.18530201888518419</v>
      </c>
      <c r="G22" s="12">
        <f t="shared" si="3"/>
        <v>518.84565287851569</v>
      </c>
      <c r="H22" s="12">
        <f t="shared" si="4"/>
        <v>0</v>
      </c>
      <c r="I22" s="12">
        <f t="shared" si="5"/>
        <v>518.84565287851569</v>
      </c>
      <c r="J22" s="12">
        <f>SUM(I$6:$I22)</f>
        <v>3430.3891240933654</v>
      </c>
      <c r="K22" s="12" t="str">
        <f t="shared" si="6"/>
        <v>TAK</v>
      </c>
      <c r="L22" s="12">
        <f t="shared" si="7"/>
        <v>1</v>
      </c>
    </row>
    <row r="23" spans="2:12">
      <c r="B23" s="12">
        <v>18</v>
      </c>
      <c r="C23" s="10" t="s">
        <v>67</v>
      </c>
      <c r="D23" s="12">
        <f t="shared" si="0"/>
        <v>2800</v>
      </c>
      <c r="E23" s="12">
        <f t="shared" si="1"/>
        <v>0</v>
      </c>
      <c r="F23" s="13">
        <f t="shared" si="2"/>
        <v>0.16677181699666577</v>
      </c>
      <c r="G23" s="12">
        <f t="shared" si="3"/>
        <v>466.96108759066414</v>
      </c>
      <c r="H23" s="12">
        <f t="shared" si="4"/>
        <v>0</v>
      </c>
      <c r="I23" s="12">
        <f t="shared" si="5"/>
        <v>466.96108759066414</v>
      </c>
      <c r="J23" s="12">
        <f>SUM(I$6:$I23)</f>
        <v>3897.3502116840295</v>
      </c>
      <c r="K23" s="12" t="str">
        <f t="shared" si="6"/>
        <v>TAK</v>
      </c>
      <c r="L23" s="12">
        <f t="shared" si="7"/>
        <v>1</v>
      </c>
    </row>
    <row r="24" spans="2:12">
      <c r="B24" s="12">
        <v>19</v>
      </c>
      <c r="C24" s="10" t="s">
        <v>68</v>
      </c>
      <c r="D24" s="12">
        <f t="shared" si="0"/>
        <v>2800</v>
      </c>
      <c r="E24" s="12">
        <f t="shared" si="1"/>
        <v>0</v>
      </c>
      <c r="F24" s="13">
        <f t="shared" si="2"/>
        <v>0.15009463529699921</v>
      </c>
      <c r="G24" s="12">
        <f t="shared" si="3"/>
        <v>420.26497883159777</v>
      </c>
      <c r="H24" s="12">
        <f t="shared" si="4"/>
        <v>0</v>
      </c>
      <c r="I24" s="12">
        <f t="shared" si="5"/>
        <v>420.26497883159777</v>
      </c>
      <c r="J24" s="12">
        <f>SUM(I$6:$I24)</f>
        <v>4317.6151905156275</v>
      </c>
      <c r="K24" s="12" t="str">
        <f t="shared" si="6"/>
        <v>TAK</v>
      </c>
      <c r="L24" s="12">
        <f t="shared" si="7"/>
        <v>1</v>
      </c>
    </row>
    <row r="25" spans="2:12">
      <c r="B25" s="12">
        <v>20</v>
      </c>
      <c r="C25" s="10" t="s">
        <v>69</v>
      </c>
      <c r="D25" s="12">
        <f t="shared" si="0"/>
        <v>2800</v>
      </c>
      <c r="E25" s="12">
        <f t="shared" si="1"/>
        <v>0</v>
      </c>
      <c r="F25" s="13">
        <f t="shared" si="2"/>
        <v>0.13508517176729928</v>
      </c>
      <c r="G25" s="12">
        <f t="shared" si="3"/>
        <v>378.238480948438</v>
      </c>
      <c r="H25" s="12">
        <f t="shared" si="4"/>
        <v>0</v>
      </c>
      <c r="I25" s="12">
        <f t="shared" si="5"/>
        <v>378.238480948438</v>
      </c>
      <c r="J25" s="12">
        <f>SUM(I$6:$I25)</f>
        <v>4695.8536714640659</v>
      </c>
      <c r="K25" s="12" t="str">
        <f t="shared" si="6"/>
        <v>TAK</v>
      </c>
      <c r="L25" s="12">
        <f t="shared" si="7"/>
        <v>1</v>
      </c>
    </row>
    <row r="26" spans="2:12">
      <c r="B26" s="12">
        <v>21</v>
      </c>
      <c r="C26" s="10" t="s">
        <v>70</v>
      </c>
      <c r="D26" s="12">
        <f t="shared" si="0"/>
        <v>2800</v>
      </c>
      <c r="E26" s="12">
        <f t="shared" si="1"/>
        <v>0</v>
      </c>
      <c r="F26" s="13">
        <f t="shared" si="2"/>
        <v>0.12157665459056936</v>
      </c>
      <c r="G26" s="12">
        <f t="shared" si="3"/>
        <v>340.41463285359424</v>
      </c>
      <c r="H26" s="12">
        <f t="shared" si="4"/>
        <v>0</v>
      </c>
      <c r="I26" s="12">
        <f t="shared" si="5"/>
        <v>340.41463285359424</v>
      </c>
      <c r="J26" s="12">
        <f>SUM(I$6:$I26)</f>
        <v>5036.2683043176603</v>
      </c>
      <c r="K26" s="12" t="str">
        <f t="shared" si="6"/>
        <v>TAK</v>
      </c>
      <c r="L26" s="12">
        <f t="shared" si="7"/>
        <v>1</v>
      </c>
    </row>
    <row r="27" spans="2:12">
      <c r="B27" s="12">
        <v>22</v>
      </c>
      <c r="C27" s="10" t="s">
        <v>71</v>
      </c>
      <c r="D27" s="12">
        <f t="shared" si="0"/>
        <v>2800</v>
      </c>
      <c r="E27" s="12">
        <f t="shared" si="1"/>
        <v>0</v>
      </c>
      <c r="F27" s="13">
        <f t="shared" si="2"/>
        <v>0.10941898913151243</v>
      </c>
      <c r="G27" s="12">
        <f t="shared" si="3"/>
        <v>306.3731695682348</v>
      </c>
      <c r="H27" s="12">
        <f t="shared" si="4"/>
        <v>0</v>
      </c>
      <c r="I27" s="12">
        <f t="shared" si="5"/>
        <v>306.3731695682348</v>
      </c>
      <c r="J27" s="12">
        <f>SUM(I$6:$I27)</f>
        <v>5342.6414738858948</v>
      </c>
      <c r="K27" s="12" t="str">
        <f t="shared" si="6"/>
        <v>TAK</v>
      </c>
      <c r="L27" s="12">
        <f t="shared" si="7"/>
        <v>1</v>
      </c>
    </row>
    <row r="28" spans="2:12">
      <c r="B28" s="12">
        <v>23</v>
      </c>
      <c r="C28" s="10" t="s">
        <v>72</v>
      </c>
      <c r="D28" s="12">
        <f t="shared" si="0"/>
        <v>2800</v>
      </c>
      <c r="E28" s="12">
        <f t="shared" si="1"/>
        <v>0</v>
      </c>
      <c r="F28" s="13">
        <f t="shared" si="2"/>
        <v>9.8477090218361193E-2</v>
      </c>
      <c r="G28" s="12">
        <f t="shared" si="3"/>
        <v>275.73585261141136</v>
      </c>
      <c r="H28" s="12">
        <f t="shared" si="4"/>
        <v>0</v>
      </c>
      <c r="I28" s="12">
        <f t="shared" si="5"/>
        <v>275.73585261141136</v>
      </c>
      <c r="J28" s="12">
        <f>SUM(I$6:$I28)</f>
        <v>5618.3773264973061</v>
      </c>
      <c r="K28" s="12" t="str">
        <f t="shared" si="6"/>
        <v>TAK</v>
      </c>
      <c r="L28" s="12">
        <f t="shared" si="7"/>
        <v>1</v>
      </c>
    </row>
    <row r="29" spans="2:12">
      <c r="B29" s="12">
        <v>24</v>
      </c>
      <c r="C29" s="10" t="s">
        <v>73</v>
      </c>
      <c r="D29" s="12">
        <f t="shared" si="0"/>
        <v>2800</v>
      </c>
      <c r="E29" s="12">
        <f t="shared" si="1"/>
        <v>0</v>
      </c>
      <c r="F29" s="13">
        <f t="shared" si="2"/>
        <v>8.8629381196525081E-2</v>
      </c>
      <c r="G29" s="12">
        <f t="shared" si="3"/>
        <v>248.16226735027021</v>
      </c>
      <c r="H29" s="12">
        <f t="shared" si="4"/>
        <v>0</v>
      </c>
      <c r="I29" s="12">
        <f t="shared" si="5"/>
        <v>248.16226735027021</v>
      </c>
      <c r="J29" s="12">
        <f>SUM(I$6:$I29)</f>
        <v>5866.5395938475758</v>
      </c>
      <c r="K29" s="12" t="str">
        <f t="shared" si="6"/>
        <v>TAK</v>
      </c>
      <c r="L29" s="12">
        <f t="shared" si="7"/>
        <v>1</v>
      </c>
    </row>
    <row r="30" spans="2:12">
      <c r="B30" s="12">
        <v>25</v>
      </c>
      <c r="C30" s="10" t="s">
        <v>74</v>
      </c>
      <c r="D30" s="12">
        <f t="shared" si="0"/>
        <v>7800</v>
      </c>
      <c r="E30" s="12">
        <f t="shared" si="1"/>
        <v>2500</v>
      </c>
      <c r="F30" s="13">
        <f t="shared" si="2"/>
        <v>7.976644307687257E-2</v>
      </c>
      <c r="G30" s="12">
        <f t="shared" si="3"/>
        <v>622.17825599960599</v>
      </c>
      <c r="H30" s="12">
        <f t="shared" si="4"/>
        <v>199.41610769218141</v>
      </c>
      <c r="I30" s="12">
        <f t="shared" si="5"/>
        <v>422.76214830742458</v>
      </c>
      <c r="J30" s="12">
        <f>SUM(I$6:$I30)</f>
        <v>6289.3017421550003</v>
      </c>
      <c r="K30" s="12" t="str">
        <f t="shared" si="6"/>
        <v>TAK</v>
      </c>
      <c r="L30" s="12">
        <f t="shared" si="7"/>
        <v>1</v>
      </c>
    </row>
    <row r="31" spans="2:12">
      <c r="B31" s="12">
        <v>26</v>
      </c>
      <c r="C31" s="10" t="s">
        <v>75</v>
      </c>
      <c r="D31" s="12">
        <f t="shared" si="0"/>
        <v>0</v>
      </c>
      <c r="E31" s="12">
        <f t="shared" si="1"/>
        <v>0</v>
      </c>
      <c r="F31" s="13">
        <f t="shared" si="2"/>
        <v>7.1789798769185315E-2</v>
      </c>
      <c r="G31" s="12">
        <f t="shared" si="3"/>
        <v>0</v>
      </c>
      <c r="H31" s="12">
        <f t="shared" si="4"/>
        <v>0</v>
      </c>
      <c r="I31" s="12">
        <f t="shared" si="5"/>
        <v>0</v>
      </c>
      <c r="J31" s="12">
        <f>SUM(I$6:$I31)</f>
        <v>6289.3017421550003</v>
      </c>
      <c r="K31" s="12" t="str">
        <f t="shared" si="6"/>
        <v>TAK</v>
      </c>
      <c r="L31" s="12">
        <f t="shared" si="7"/>
        <v>1</v>
      </c>
    </row>
    <row r="32" spans="2:12">
      <c r="B32" s="12">
        <v>27</v>
      </c>
      <c r="C32" s="10" t="s">
        <v>76</v>
      </c>
      <c r="D32" s="12">
        <f t="shared" si="0"/>
        <v>0</v>
      </c>
      <c r="E32" s="12">
        <f t="shared" si="1"/>
        <v>0</v>
      </c>
      <c r="F32" s="13">
        <f t="shared" si="2"/>
        <v>6.4610818892266789E-2</v>
      </c>
      <c r="G32" s="12">
        <f t="shared" si="3"/>
        <v>0</v>
      </c>
      <c r="H32" s="12">
        <f t="shared" si="4"/>
        <v>0</v>
      </c>
      <c r="I32" s="12">
        <f t="shared" si="5"/>
        <v>0</v>
      </c>
      <c r="J32" s="12">
        <f>SUM(I$6:$I32)</f>
        <v>6289.3017421550003</v>
      </c>
      <c r="K32" s="12" t="str">
        <f t="shared" si="6"/>
        <v>TAK</v>
      </c>
      <c r="L32" s="12">
        <f t="shared" si="7"/>
        <v>1</v>
      </c>
    </row>
    <row r="33" spans="2:12">
      <c r="B33" s="12">
        <v>28</v>
      </c>
      <c r="C33" s="10" t="s">
        <v>77</v>
      </c>
      <c r="D33" s="12">
        <f t="shared" si="0"/>
        <v>0</v>
      </c>
      <c r="E33" s="12">
        <f t="shared" si="1"/>
        <v>0</v>
      </c>
      <c r="F33" s="13">
        <f t="shared" si="2"/>
        <v>5.814973700304011E-2</v>
      </c>
      <c r="G33" s="12">
        <f t="shared" si="3"/>
        <v>0</v>
      </c>
      <c r="H33" s="12">
        <f t="shared" si="4"/>
        <v>0</v>
      </c>
      <c r="I33" s="12">
        <f t="shared" si="5"/>
        <v>0</v>
      </c>
      <c r="J33" s="12">
        <f>SUM(I$6:$I33)</f>
        <v>6289.3017421550003</v>
      </c>
      <c r="K33" s="12" t="str">
        <f t="shared" si="6"/>
        <v>TAK</v>
      </c>
      <c r="L33" s="12">
        <f t="shared" si="7"/>
        <v>1</v>
      </c>
    </row>
    <row r="34" spans="2:12">
      <c r="B34" s="12">
        <v>29</v>
      </c>
      <c r="C34" s="10" t="s">
        <v>78</v>
      </c>
      <c r="D34" s="12">
        <f t="shared" si="0"/>
        <v>0</v>
      </c>
      <c r="E34" s="12">
        <f t="shared" si="1"/>
        <v>0</v>
      </c>
      <c r="F34" s="13">
        <f t="shared" si="2"/>
        <v>5.2334763302736099E-2</v>
      </c>
      <c r="G34" s="12">
        <f t="shared" si="3"/>
        <v>0</v>
      </c>
      <c r="H34" s="12">
        <f t="shared" si="4"/>
        <v>0</v>
      </c>
      <c r="I34" s="12">
        <f t="shared" si="5"/>
        <v>0</v>
      </c>
      <c r="J34" s="12">
        <f>SUM(I$6:$I34)</f>
        <v>6289.3017421550003</v>
      </c>
      <c r="K34" s="12" t="str">
        <f t="shared" si="6"/>
        <v>TAK</v>
      </c>
      <c r="L34" s="12">
        <f t="shared" si="7"/>
        <v>1</v>
      </c>
    </row>
    <row r="35" spans="2:12">
      <c r="B35" s="12">
        <v>30</v>
      </c>
      <c r="C35" s="10" t="s">
        <v>79</v>
      </c>
      <c r="D35" s="12">
        <f t="shared" si="0"/>
        <v>0</v>
      </c>
      <c r="E35" s="12">
        <f t="shared" si="1"/>
        <v>0</v>
      </c>
      <c r="F35" s="13">
        <f t="shared" si="2"/>
        <v>4.7101286972462492E-2</v>
      </c>
      <c r="G35" s="12">
        <f t="shared" si="3"/>
        <v>0</v>
      </c>
      <c r="H35" s="12">
        <f t="shared" si="4"/>
        <v>0</v>
      </c>
      <c r="I35" s="12">
        <f t="shared" si="5"/>
        <v>0</v>
      </c>
      <c r="J35" s="12">
        <f>SUM(I$6:$I35)</f>
        <v>6289.3017421550003</v>
      </c>
      <c r="K35" s="12" t="str">
        <f t="shared" si="6"/>
        <v>TAK</v>
      </c>
      <c r="L35" s="12">
        <f t="shared" si="7"/>
        <v>1</v>
      </c>
    </row>
    <row r="36" spans="2:12">
      <c r="C36" s="10" t="s">
        <v>80</v>
      </c>
      <c r="D36" s="12">
        <f>SUM(D6:D35)</f>
        <v>75000</v>
      </c>
      <c r="E36" s="12">
        <f t="shared" ref="E36:I36" si="8">SUM(E6:E35)</f>
        <v>22400</v>
      </c>
      <c r="F36" s="12">
        <f t="shared" si="8"/>
        <v>9.5760884172478438</v>
      </c>
      <c r="G36" s="12">
        <f t="shared" si="8"/>
        <v>26388.717849847191</v>
      </c>
      <c r="H36" s="12">
        <f t="shared" si="8"/>
        <v>20099.416107692181</v>
      </c>
      <c r="I36" s="12">
        <f t="shared" si="8"/>
        <v>6289.3017421550003</v>
      </c>
      <c r="L36" s="12">
        <f>31-SUM(L6:L35)</f>
        <v>12</v>
      </c>
    </row>
    <row r="38" spans="2:12" ht="15.75" customHeight="1">
      <c r="C38" s="22" t="s">
        <v>81</v>
      </c>
      <c r="D38" s="22"/>
      <c r="E38" s="22"/>
      <c r="F38" s="22"/>
    </row>
    <row r="39" spans="2:12" ht="15.75" customHeight="1">
      <c r="C39" s="22" t="s">
        <v>82</v>
      </c>
      <c r="D39" s="22"/>
      <c r="E39" s="22"/>
      <c r="F39" s="22"/>
    </row>
    <row r="40" spans="2:12">
      <c r="C40" s="22" t="s">
        <v>84</v>
      </c>
      <c r="D40" s="22"/>
      <c r="E40" s="22"/>
      <c r="F40" s="22"/>
    </row>
    <row r="42" spans="2:12">
      <c r="C42" s="20" t="s">
        <v>83</v>
      </c>
      <c r="D42" s="20"/>
      <c r="E42" s="20"/>
      <c r="F42" s="20"/>
    </row>
  </sheetData>
  <sheetProtection selectLockedCells="1"/>
  <mergeCells count="6">
    <mergeCell ref="C42:F42"/>
    <mergeCell ref="C2:E2"/>
    <mergeCell ref="C4:E4"/>
    <mergeCell ref="C38:F38"/>
    <mergeCell ref="C39:F39"/>
    <mergeCell ref="C40:F40"/>
  </mergeCells>
  <hyperlinks>
    <hyperlink ref="C2:E2" location="'Spis treści'!A1" display="Powrót do spisu treści"/>
    <hyperlink ref="C38:F38" location="'Wykres 1'!A1" display="Zobacz wykres z przepływami nominalnymi"/>
    <hyperlink ref="C39:F39" location="'Wykres 2'!A1" display="Zobacz wykres z przepływami zdyskontowanymi"/>
    <hyperlink ref="C40:F40" location="'Wykres 3'!A1" display="Zobacz wykres z saldem inwestycji"/>
    <hyperlink ref="C42:F42" location="Rekomendacja!A1" display="Przejdż do podsumowani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5"/>
  <sheetViews>
    <sheetView showGridLines="0" showRowColHeaders="0" workbookViewId="0">
      <selection activeCell="B2" sqref="B2"/>
    </sheetView>
  </sheetViews>
  <sheetFormatPr defaultRowHeight="15.75"/>
  <cols>
    <col min="1" max="1" width="5.625" customWidth="1"/>
    <col min="2" max="2" width="90.625" customWidth="1"/>
  </cols>
  <sheetData>
    <row r="2" spans="2:2">
      <c r="B2" s="18" t="s">
        <v>86</v>
      </c>
    </row>
    <row r="5" spans="2:2">
      <c r="B5" t="s">
        <v>85</v>
      </c>
    </row>
  </sheetData>
  <sheetProtection selectLockedCells="1"/>
  <hyperlinks>
    <hyperlink ref="B2" location="'Arkusz obliczeniowy'!A1" display="Powrót do obliczeń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5"/>
  <sheetViews>
    <sheetView showGridLines="0" showRowColHeaders="0" workbookViewId="0">
      <selection activeCell="B2" sqref="B2"/>
    </sheetView>
  </sheetViews>
  <sheetFormatPr defaultRowHeight="15.75"/>
  <cols>
    <col min="1" max="1" width="5.625" customWidth="1"/>
    <col min="2" max="2" width="90.625" customWidth="1"/>
  </cols>
  <sheetData>
    <row r="2" spans="2:2">
      <c r="B2" s="18" t="s">
        <v>86</v>
      </c>
    </row>
    <row r="5" spans="2:2">
      <c r="B5" t="s">
        <v>87</v>
      </c>
    </row>
  </sheetData>
  <sheetProtection selectLockedCells="1"/>
  <hyperlinks>
    <hyperlink ref="B2" location="'Arkusz obliczeniowy'!A1" display="Powrót do obliczeń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5"/>
  <sheetViews>
    <sheetView showGridLines="0" showRowColHeaders="0" topLeftCell="A7" workbookViewId="0">
      <selection activeCell="B2" sqref="B2"/>
    </sheetView>
  </sheetViews>
  <sheetFormatPr defaultRowHeight="15.75"/>
  <cols>
    <col min="1" max="1" width="5.625" customWidth="1"/>
    <col min="2" max="2" width="90.625" customWidth="1"/>
  </cols>
  <sheetData>
    <row r="2" spans="2:2">
      <c r="B2" s="18" t="s">
        <v>86</v>
      </c>
    </row>
    <row r="5" spans="2:2">
      <c r="B5" t="s">
        <v>88</v>
      </c>
    </row>
  </sheetData>
  <sheetProtection selectLockedCells="1"/>
  <hyperlinks>
    <hyperlink ref="B2" location="'Arkusz obliczeniowy'!A1" display="Powrót do obliczeń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26"/>
  <sheetViews>
    <sheetView showGridLines="0" showRowColHeaders="0" workbookViewId="0">
      <selection activeCell="B2" sqref="B2"/>
    </sheetView>
  </sheetViews>
  <sheetFormatPr defaultRowHeight="18.75"/>
  <cols>
    <col min="1" max="1" width="5.625" style="14" customWidth="1"/>
    <col min="2" max="2" width="45.625" style="14" customWidth="1"/>
    <col min="3" max="3" width="20.625" style="14" customWidth="1"/>
    <col min="4" max="4" width="8.625" style="14" customWidth="1"/>
    <col min="5" max="16384" width="9" style="14"/>
  </cols>
  <sheetData>
    <row r="2" spans="2:4">
      <c r="B2" s="19" t="s">
        <v>11</v>
      </c>
    </row>
    <row r="4" spans="2:4">
      <c r="B4" s="16" t="s">
        <v>89</v>
      </c>
    </row>
    <row r="5" spans="2:4">
      <c r="B5" s="16" t="str">
        <f>'Dane bazowe'!B5</f>
        <v>Kupno fabryki przemysłowej</v>
      </c>
    </row>
    <row r="7" spans="2:4">
      <c r="B7" s="14" t="s">
        <v>90</v>
      </c>
    </row>
    <row r="8" spans="2:4">
      <c r="B8" s="14" t="str">
        <f>'Dane bazowe'!B16</f>
        <v>Razem nakłady inwestycyjne</v>
      </c>
      <c r="C8" s="14">
        <f>nakłady</f>
        <v>19900</v>
      </c>
      <c r="D8" s="14" t="str">
        <f>waluta</f>
        <v>tys. zł</v>
      </c>
    </row>
    <row r="9" spans="2:4">
      <c r="B9" s="14" t="str">
        <f>'Dane bazowe'!B22</f>
        <v>Czas życia inwestycji</v>
      </c>
      <c r="C9" s="14">
        <f>czas</f>
        <v>25</v>
      </c>
      <c r="D9" s="14" t="str">
        <f>'Dane bazowe'!F22</f>
        <v>lat(a)</v>
      </c>
    </row>
    <row r="11" spans="2:4">
      <c r="B11" s="14" t="s">
        <v>36</v>
      </c>
    </row>
    <row r="12" spans="2:4">
      <c r="B12" s="14" t="str">
        <f>'Dane bazowe'!B25</f>
        <v>Klasyfikacja ryzyka związanego z inwestycją</v>
      </c>
      <c r="C12" s="15" t="str">
        <f>'Dane bazowe'!E25</f>
        <v>standardowe</v>
      </c>
    </row>
    <row r="13" spans="2:4">
      <c r="B13" s="14" t="str">
        <f>'Dane bazowe'!B29</f>
        <v>Maksymalny dopuszczalny okres zwrotu</v>
      </c>
      <c r="C13" s="14">
        <f>'Dane bazowe'!E29</f>
        <v>10</v>
      </c>
      <c r="D13" s="14" t="str">
        <f>'Dane bazowe'!F29</f>
        <v>lat(a)</v>
      </c>
    </row>
    <row r="15" spans="2:4">
      <c r="B15" s="14" t="s">
        <v>91</v>
      </c>
    </row>
    <row r="16" spans="2:4">
      <c r="B16" s="14" t="s">
        <v>92</v>
      </c>
      <c r="C16" s="14">
        <f>npv</f>
        <v>6289.3017421550003</v>
      </c>
      <c r="D16" s="14" t="str">
        <f>waluta</f>
        <v>tys. zł</v>
      </c>
    </row>
    <row r="17" spans="2:4">
      <c r="B17" s="14" t="s">
        <v>93</v>
      </c>
    </row>
    <row r="18" spans="2:4">
      <c r="B18" s="14" t="s">
        <v>94</v>
      </c>
      <c r="C18" s="14">
        <f>npv/czas</f>
        <v>251.57206968620002</v>
      </c>
      <c r="D18" s="14" t="str">
        <f>waluta</f>
        <v>tys. zł</v>
      </c>
    </row>
    <row r="19" spans="2:4">
      <c r="B19" s="14" t="s">
        <v>95</v>
      </c>
      <c r="C19" s="17">
        <f>npv/nakłady</f>
        <v>0.31604531367613065</v>
      </c>
    </row>
    <row r="20" spans="2:4">
      <c r="B20" s="14" t="s">
        <v>96</v>
      </c>
    </row>
    <row r="21" spans="2:4">
      <c r="B21" s="14" t="s">
        <v>97</v>
      </c>
      <c r="C21" s="17">
        <f>npv/nakłady/czas</f>
        <v>1.2641812547045226E-2</v>
      </c>
    </row>
    <row r="22" spans="2:4">
      <c r="B22" s="14" t="s">
        <v>99</v>
      </c>
      <c r="C22" s="15">
        <f>IF(npv&gt;0,zwrot,"BRAK!")</f>
        <v>12</v>
      </c>
      <c r="D22" s="14" t="str">
        <f>IF(npv&gt;0,D13," ")</f>
        <v>lat(a)</v>
      </c>
    </row>
    <row r="23" spans="2:4">
      <c r="B23" s="14" t="s">
        <v>98</v>
      </c>
    </row>
    <row r="25" spans="2:4">
      <c r="B25" s="14" t="s">
        <v>100</v>
      </c>
    </row>
    <row r="26" spans="2:4">
      <c r="B26" s="23" t="str">
        <f>IF(npv&lt;0,"NIE INWESTUJ! Inwestycja bezzasadna",IF(zwrot&gt;dopuszcz,"NIE INWESTUJ! Zbyt długi okres zwrotu","INWESTUJ!"))</f>
        <v>NIE INWESTUJ! Zbyt długi okres zwrotu</v>
      </c>
      <c r="C26" s="23"/>
    </row>
  </sheetData>
  <sheetProtection selectLockedCells="1"/>
  <mergeCells count="1">
    <mergeCell ref="B26:C26"/>
  </mergeCells>
  <hyperlinks>
    <hyperlink ref="B2" location="'Spis treści'!A1" display="Powrót do spisu treści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12</vt:i4>
      </vt:variant>
    </vt:vector>
  </HeadingPairs>
  <TitlesOfParts>
    <vt:vector size="19" baseType="lpstr">
      <vt:lpstr>Spis treści</vt:lpstr>
      <vt:lpstr>Dane bazowe</vt:lpstr>
      <vt:lpstr>Arkusz obliczeniowy</vt:lpstr>
      <vt:lpstr>Wykres 1</vt:lpstr>
      <vt:lpstr>Wykres 2</vt:lpstr>
      <vt:lpstr>Wykres 3</vt:lpstr>
      <vt:lpstr>Rekomendacja</vt:lpstr>
      <vt:lpstr>czas</vt:lpstr>
      <vt:lpstr>dopuszcz</vt:lpstr>
      <vt:lpstr>likwid</vt:lpstr>
      <vt:lpstr>nakłady</vt:lpstr>
      <vt:lpstr>npv</vt:lpstr>
      <vt:lpstr>rezyd</vt:lpstr>
      <vt:lpstr>rezydual</vt:lpstr>
      <vt:lpstr>ryzyko</vt:lpstr>
      <vt:lpstr>saldo</vt:lpstr>
      <vt:lpstr>stopa</vt:lpstr>
      <vt:lpstr>waluta</vt:lpstr>
      <vt:lpstr>zwrot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</cp:lastModifiedBy>
  <cp:lastPrinted>2015-02-07T18:35:03Z</cp:lastPrinted>
  <dcterms:created xsi:type="dcterms:W3CDTF">2014-05-20T09:28:04Z</dcterms:created>
  <dcterms:modified xsi:type="dcterms:W3CDTF">2015-02-08T09:55:03Z</dcterms:modified>
</cp:coreProperties>
</file>